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 (IVE)\EVU  Verträge\Gas\Abfragen\"/>
    </mc:Choice>
  </mc:AlternateContent>
  <bookViews>
    <workbookView xWindow="0" yWindow="0" windowWidth="28800" windowHeight="1243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J53" i="18"/>
  <c r="G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F63" i="18" l="1"/>
  <c r="I63" i="18"/>
  <c r="K63" i="18"/>
  <c r="N63" i="18"/>
  <c r="D32" i="18"/>
  <c r="L31" i="18" s="1"/>
  <c r="F53" i="18"/>
  <c r="I53" i="18"/>
  <c r="K53" i="18"/>
  <c r="N53" i="18"/>
  <c r="E63" i="18"/>
  <c r="G63" i="18"/>
  <c r="J63" i="18"/>
  <c r="M63" i="18"/>
  <c r="N21" i="18"/>
  <c r="J21" i="18"/>
  <c r="F21" i="18"/>
  <c r="M21" i="18"/>
  <c r="I21" i="18"/>
  <c r="L21" i="18"/>
  <c r="H21" i="18"/>
  <c r="K21" i="18"/>
  <c r="G21" i="18"/>
  <c r="D56" i="18"/>
  <c r="H31" i="18"/>
  <c r="G31" i="18"/>
  <c r="J31" i="18"/>
  <c r="M31" i="18"/>
  <c r="J55" i="18"/>
  <c r="H53" i="18"/>
  <c r="H63" i="18"/>
  <c r="D66" i="18" s="1"/>
  <c r="D24" i="15"/>
  <c r="C23" i="15"/>
  <c r="I31" i="18" l="1"/>
  <c r="F31" i="18"/>
  <c r="N31" i="18"/>
  <c r="K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<sst xmlns="http://schemas.openxmlformats.org/spreadsheetml/2006/main" count="1378" uniqueCount="682">
  <si>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</si>
  <si>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</si>
  <si>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</si>
  <si>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</si>
  <si>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</si>
  <si>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</si>
  <si>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</si>
  <si>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</si>
  <si>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</si>
  <si>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</si>
  <si>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</si>
  <si>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</si>
  <si>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</si>
  <si>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</si>
  <si>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</si>
  <si>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</si>
  <si>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</si>
  <si>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</si>
  <si>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</si>
  <si>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</si>
  <si>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</si>
  <si>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</si>
  <si>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</si>
  <si>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</si>
  <si>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</si>
  <si>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</si>
  <si>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</si>
  <si>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</si>
  <si>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</si>
  <si>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</si>
  <si>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</si>
  <si>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</si>
  <si>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</si>
  <si>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</si>
  <si>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</si>
  <si>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</si>
  <si>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</si>
  <si>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</si>
  <si>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</si>
  <si>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</si>
  <si>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</si>
  <si>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</si>
  <si>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</si>
  <si>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</si>
  <si>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</si>
  <si>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</si>
  <si>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</si>
  <si>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</si>
  <si>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</si>
  <si>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</si>
  <si>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</si>
  <si>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</si>
  <si>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</si>
  <si>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</si>
  <si>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</si>
  <si>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</si>
  <si>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</si>
  <si>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</si>
  <si>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</si>
  <si>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</si>
  <si>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</si>
  <si>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</si>
  <si>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</si>
  <si>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</si>
  <si>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</si>
  <si>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</si>
  <si>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</si>
  <si>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</si>
  <si>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</si>
  <si>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</si>
  <si>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</si>
  <si>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</si>
  <si>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</si>
  <si>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</si>
  <si>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</si>
  <si>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</si>
  <si>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</si>
  <si>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</si>
  <si>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</si>
  <si>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</si>
  <si>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</si>
  <si>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</si>
  <si>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</si>
  <si>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</si>
  <si>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</si>
  <si>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</si>
  <si>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</si>
  <si>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</si>
  <si>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</si>
  <si>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</si>
  <si>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</si>
  <si>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</si>
  <si>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</si>
  <si>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</si>
  <si>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</si>
  <si>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</si>
  <si>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</si>
  <si>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</si>
  <si>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</si>
  <si>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</si>
  <si>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</si>
  <si>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</si>
  <si>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</si>
  <si>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</si>
  <si>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</si>
  <si>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</si>
  <si>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</si>
  <si>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</si>
  <si>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</si>
  <si>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</si>
  <si>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</si>
  <si>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</si>
  <si>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</si>
  <si>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</si>
  <si>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</si>
  <si>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</si>
  <si>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</si>
  <si>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</si>
  <si>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</si>
  <si>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</si>
  <si>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</si>
  <si>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</si>
  <si>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</si>
  <si>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</si>
  <si>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</si>
  <si>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</si>
  <si>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</si>
  <si>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</si>
  <si>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</si>
  <si>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</si>
  <si>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</si>
  <si>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</si>
  <si>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</si>
  <si>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</si>
  <si>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</si>
  <si>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</si>
  <si>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</si>
  <si>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</si>
  <si>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</si>
  <si>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</si>
  <si>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</si>
  <si>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</si>
  <si>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</si>
  <si>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</si>
  <si>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</si>
  <si>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</si>
  <si>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</si>
  <si>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</si>
  <si>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</si>
  <si>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</si>
  <si>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</si>
  <si>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</si>
  <si>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</si>
  <si>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</si>
  <si>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</si>
  <si>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</si>
  <si>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</si>
  <si>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</si>
  <si>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</si>
  <si>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</si>
  <si>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</si>
  <si>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</si>
  <si>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</si>
  <si>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</si>
  <si>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</si>
  <si>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</si>
  <si>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</si>
  <si>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</si>
  <si>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</si>
  <si>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</si>
  <si>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</si>
  <si>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</si>
  <si>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</si>
  <si>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</si>
  <si>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</si>
  <si>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</si>
  <si>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</si>
  <si>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</si>
  <si>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</si>
  <si>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</si>
  <si>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</si>
  <si>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</si>
  <si>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</si>
  <si>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</si>
  <si>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</si>
  <si>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</si>
  <si>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</si>
  <si>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</si>
  <si>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</si>
  <si>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</si>
  <si>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</si>
  <si>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</si>
  <si>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</si>
  <si>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</si>
  <si>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</si>
  <si>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</si>
  <si>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</si>
  <si>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</si>
  <si>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</si>
  <si>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</si>
  <si>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</si>
  <si>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</si>
  <si>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</si>
  <si>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</si>
  <si>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</si>
  <si>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</si>
  <si>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</si>
  <si>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</si>
  <si>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</si>
  <si>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</si>
  <si>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</si>
  <si>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</si>
  <si>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</si>
  <si>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</si>
  <si>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</si>
  <si>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</si>
  <si>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</si>
  <si>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</si>
  <si>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</si>
  <si>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</si>
  <si>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</si>
  <si>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</si>
  <si>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</si>
  <si>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</si>
  <si>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</si>
  <si>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</si>
  <si>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</si>
  <si>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</si>
  <si>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</si>
  <si>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</si>
  <si>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</si>
  <si>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</si>
  <si>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</si>
  <si>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</si>
  <si>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</si>
  <si>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</si>
  <si>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</si>
  <si>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</si>
  <si>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</si>
  <si>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</si>
  <si>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</si>
  <si>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</si>
  <si>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</si>
  <si>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</si>
  <si>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</si>
  <si>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</si>
  <si>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</si>
  <si>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</si>
  <si>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</si>
  <si>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</si>
  <si>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</si>
  <si>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</si>
  <si>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</si>
  <si>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</si>
  <si>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</si>
  <si>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</si>
  <si>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</si>
  <si>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</si>
  <si>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</si>
  <si>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</si>
  <si>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</si>
  <si>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</si>
  <si>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</si>
  <si>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</si>
  <si>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</si>
  <si>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</si>
  <si>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</si>
  <si>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</si>
  <si>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</si>
  <si>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</si>
  <si>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</si>
  <si>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</si>
  <si>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</si>
  <si>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</si>
  <si>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</si>
  <si>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</si>
  <si>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</si>
  <si>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</si>
  <si>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</si>
  <si>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</si>
  <si>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</si>
  <si>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</si>
  <si>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</si>
  <si>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</si>
  <si>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</si>
  <si>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</si>
  <si>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</si>
  <si>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</si>
  <si>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</si>
  <si>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</si>
  <si>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</si>
  <si>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</si>
  <si>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</si>
  <si>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</si>
  <si>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</si>
  <si>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</si>
  <si>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</si>
  <si>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</si>
  <si>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</si>
  <si>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</si>
  <si>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</si>
  <si>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</si>
  <si>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</si>
  <si>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</si>
  <si>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</si>
  <si>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</si>
  <si>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</si>
  <si>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</si>
  <si>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</si>
  <si>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</si>
  <si>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</si>
  <si>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</si>
  <si>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</si>
  <si>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</si>
  <si>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</si>
  <si>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</si>
  <si>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</si>
  <si>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</si>
  <si>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</si>
  <si>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</si>
  <si>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</si>
  <si>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</si>
  <si>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</si>
  <si>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</si>
  <si>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</si>
  <si>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</si>
  <si>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</si>
  <si>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</si>
  <si>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</si>
  <si>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</si>
  <si>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</si>
  <si>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</si>
  <si>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</si>
  <si>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</si>
  <si>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</si>
  <si>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</si>
  <si>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</si>
  <si>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</si>
  <si>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</si>
  <si>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</si>
  <si>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</si>
  <si>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</si>
  <si>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</si>
  <si>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</si>
  <si>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</si>
  <si>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</si>
  <si>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</si>
  <si>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</si>
  <si>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</si>
  <si>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</si>
  <si>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</si>
  <si>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</si>
  <si>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</si>
  <si>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</si>
  <si>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</si>
  <si>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</si>
  <si>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</si>
  <si>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</si>
  <si>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</si>
  <si>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</si>
  <si>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</si>
  <si>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</si>
  <si>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</si>
  <si>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</si>
  <si>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</si>
  <si>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</si>
  <si>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</si>
  <si>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</si>
  <si>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</si>
  <si>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</si>
  <si>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</si>
  <si>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</si>
  <si>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</si>
  <si>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</si>
  <si>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</si>
  <si>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</si>
  <si>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</si>
  <si>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</si>
  <si>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</si>
  <si>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</si>
  <si>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</si>
  <si>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</si>
  <si>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</si>
  <si>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</si>
  <si>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</si>
  <si>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</si>
  <si>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</si>
  <si>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</si>
  <si>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</si>
  <si>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</si>
  <si>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</si>
  <si>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</si>
  <si>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</si>
  <si>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</si>
  <si>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</si>
  <si>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</si>
  <si>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</si>
  <si>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</si>
  <si>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</si>
  <si>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</si>
  <si>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</si>
  <si>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</si>
  <si>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</si>
  <si>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</si>
  <si>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</si>
  <si>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</si>
  <si>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</si>
  <si>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</si>
  <si>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</si>
  <si>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</si>
  <si>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</si>
  <si>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</si>
  <si>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</si>
  <si>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</si>
  <si>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</si>
  <si>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</si>
  <si>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</si>
  <si>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</si>
  <si>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</si>
  <si>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</si>
  <si>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</si>
  <si>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</si>
  <si>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</si>
  <si>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</si>
  <si>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</si>
  <si>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</si>
  <si>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</si>
  <si>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</si>
  <si>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</si>
  <si>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</si>
  <si>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</si>
  <si>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</si>
  <si>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</si>
  <si>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</si>
  <si>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</si>
  <si>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</si>
  <si>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</si>
  <si>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</si>
  <si>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</si>
  <si>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</si>
  <si>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</si>
  <si>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</si>
  <si>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</si>
  <si>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</si>
  <si>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</si>
  <si>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</si>
  <si>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</si>
  <si>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</si>
  <si>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</si>
  <si>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</si>
  <si>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</si>
  <si>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</si>
  <si>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</si>
  <si>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</si>
  <si>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</si>
  <si>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</si>
  <si>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</si>
  <si>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</si>
  <si>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</si>
  <si>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</si>
  <si>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</si>
  <si>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</si>
  <si>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</si>
  <si>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</si>
  <si>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</si>
  <si>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</si>
  <si>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</si>
  <si>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</si>
  <si>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</si>
  <si>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</si>
  <si>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</si>
  <si>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</si>
  <si>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</si>
  <si>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</si>
  <si>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</si>
  <si>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</si>
  <si>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</si>
  <si>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</si>
  <si>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</si>
  <si>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</si>
  <si>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</si>
  <si>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</si>
  <si>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</si>
  <si>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</si>
  <si>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</si>
  <si>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</si>
  <si>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</si>
  <si>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</si>
  <si>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</si>
  <si>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</si>
  <si>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</si>
  <si>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</si>
  <si>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</si>
  <si>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</si>
  <si>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</si>
  <si>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</si>
  <si>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</si>
  <si>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</si>
  <si>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</si>
  <si>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</si>
  <si>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</si>
  <si>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</si>
  <si>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</si>
  <si>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</si>
  <si>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</si>
  <si>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</si>
  <si>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</si>
  <si>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</si>
  <si>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</si>
  <si>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</si>
  <si>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</si>
  <si>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</si>
  <si>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</si>
  <si>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</si>
  <si>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</si>
  <si>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</si>
  <si>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</si>
  <si>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</si>
  <si>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</si>
  <si>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</si>
  <si>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</si>
  <si>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</si>
  <si>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</si>
  <si>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</si>
  <si>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</si>
  <si>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</si>
  <si>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</si>
  <si>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</si>
  <si>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</si>
  <si>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</si>
  <si>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</si>
  <si>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</si>
  <si>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</si>
  <si>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</si>
  <si>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</si>
  <si>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</si>
  <si>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</si>
  <si>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</si>
  <si>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</si>
  <si>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</si>
  <si>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</si>
  <si>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</si>
  <si>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</si>
  <si>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</si>
  <si>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</si>
  <si>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</si>
  <si>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</si>
  <si>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</si>
  <si>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</si>
  <si>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</si>
  <si>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</si>
  <si>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</si>
  <si>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</si>
  <si>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</si>
  <si>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</si>
  <si>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</si>
  <si>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</si>
  <si>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</si>
  <si>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</si>
  <si>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</si>
  <si>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</si>
  <si>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</si>
  <si>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</si>
  <si>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</si>
  <si>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</si>
  <si>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</si>
  <si>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</si>
  <si>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</si>
  <si>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</si>
  <si>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</si>
  <si>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</si>
  <si>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</si>
  <si>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</si>
  <si>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</si>
  <si>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</si>
  <si>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</si>
  <si>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</si>
  <si>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</si>
  <si>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</si>
  <si>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</si>
  <si>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</si>
  <si>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</si>
  <si>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</si>
  <si>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</si>
  <si>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</si>
  <si>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</si>
  <si>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</si>
  <si>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</si>
  <si>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</si>
  <si>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</si>
  <si>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</si>
  <si>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</si>
  <si>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</si>
  <si>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</si>
  <si>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</si>
  <si>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</si>
  <si>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</si>
  <si>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</si>
  <si>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</si>
  <si>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</si>
  <si>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</si>
  <si>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</si>
  <si>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</si>
  <si>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</si>
  <si>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</si>
  <si>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</si>
  <si>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</si>
  <si>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</si>
  <si>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</si>
  <si>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</si>
  <si>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</si>
  <si>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</si>
  <si>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</si>
  <si>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</si>
  <si>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</si>
  <si>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</si>
  <si>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</si>
  <si>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</si>
  <si>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</si>
  <si>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</si>
  <si>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</si>
  <si>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</si>
  <si>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</si>
  <si>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</si>
  <si>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</si>
  <si>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</si>
  <si>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</si>
  <si>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</si>
  <si>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</si>
  <si>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</si>
  <si>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</si>
  <si>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</si>
  <si>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</si>
  <si>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</si>
  <si>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</si>
  <si>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</si>
  <si>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</si>
  <si>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</si>
  <si>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</si>
  <si>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</si>
  <si>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</si>
  <si>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</si>
  <si>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</si>
  <si>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</si>
  <si>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</si>
  <si>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</si>
  <si>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</si>
  <si>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</si>
  <si>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</si>
  <si>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</si>
  <si>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</si>
  <si>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</si>
  <si>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</si>
  <si>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</si>
  <si>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</si>
  <si>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</si>
  <si>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</si>
  <si>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Team EDM</t>
  </si>
  <si>
    <t>05562 942 154</t>
  </si>
  <si>
    <t>Göttingen</t>
  </si>
  <si>
    <t>ZT310444</t>
  </si>
  <si>
    <t>DE_GMK04</t>
  </si>
  <si>
    <t>DE_GMF04</t>
  </si>
  <si>
    <t>DE_HEF04</t>
  </si>
  <si>
    <t>DE_HMF04</t>
  </si>
  <si>
    <t>netzbetrieb-gas@stadtwerke-Leine-solling.de</t>
  </si>
  <si>
    <t>SWLS Gas Netz</t>
  </si>
  <si>
    <t>Stadtwerke Leine-Solling GmbH</t>
  </si>
  <si>
    <t>9870021700009</t>
  </si>
  <si>
    <t>Mannenstr. 62</t>
  </si>
  <si>
    <t>Moringen</t>
  </si>
  <si>
    <t>GASPOOLNL7002171</t>
  </si>
  <si>
    <t>DE_GBA04</t>
  </si>
  <si>
    <t>DE_GBH04</t>
  </si>
  <si>
    <t>DE_GHA04</t>
  </si>
  <si>
    <t>DE_GKO04</t>
  </si>
  <si>
    <t>DE_GBD04</t>
  </si>
  <si>
    <t>DE_GGA04</t>
  </si>
  <si>
    <t>DE_GWA04</t>
  </si>
  <si>
    <t>DE_GGB04</t>
  </si>
  <si>
    <t>DE_GPD04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</si>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</sst>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9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7" zoomScale="80" zoomScaleNormal="80" workbookViewId="0">
      <selection activeCell="D16" sqref="D1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506</v>
      </c>
      <c r="D4" s="27">
        <v>42171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261</v>
      </c>
      <c r="D9" s="41" t="s">
        <v>667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340" t="s">
        <v>668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262</v>
      </c>
      <c r="D13" s="41" t="s">
        <v>669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263</v>
      </c>
      <c r="D15" s="43">
        <v>37186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264</v>
      </c>
      <c r="D17" s="41" t="s">
        <v>670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267</v>
      </c>
      <c r="D23" s="41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2" t="s">
        <v>397</v>
      </c>
      <c r="E27" s="39"/>
      <c r="F27" s="11"/>
    </row>
    <row r="28" spans="1:15">
      <c r="B28" s="15"/>
      <c r="C28" s="66" t="s">
        <v>505</v>
      </c>
      <c r="D28" s="48" t="str">
        <f>IF(D27&lt;&gt;C28,VLOOKUP(D27,$C$29:$D$48,2,FALSE),C28)</f>
        <v>SWLS Gas Netz</v>
      </c>
      <c r="E28" s="38"/>
      <c r="F28" s="11"/>
      <c r="G28" s="2"/>
    </row>
    <row r="29" spans="1:15">
      <c r="B29" s="15"/>
      <c r="C29" s="22" t="s">
        <v>397</v>
      </c>
      <c r="D29" s="45" t="s">
        <v>666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Leine-Solling GmbH</v>
      </c>
      <c r="H5" s="68"/>
      <c r="I5" s="68"/>
      <c r="J5" s="68"/>
      <c r="K5" s="68"/>
    </row>
    <row r="6" spans="2:15" ht="15" customHeight="1">
      <c r="B6" s="22"/>
      <c r="C6" s="62" t="s">
        <v>447</v>
      </c>
      <c r="D6" s="58" t="str">
        <f>Netzbetreiber!D28</f>
        <v>SWLS Gas Netz</v>
      </c>
      <c r="E6" s="15"/>
      <c r="H6" s="68"/>
      <c r="I6" s="68"/>
      <c r="J6" s="68"/>
      <c r="K6" s="68"/>
    </row>
    <row r="7" spans="2:15" ht="15" customHeight="1">
      <c r="B7" s="22"/>
      <c r="C7" s="60" t="s">
        <v>491</v>
      </c>
      <c r="D7" s="61" t="str">
        <f>Netzbetreiber!$D$11</f>
        <v>9870021700009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77" t="s">
        <v>256</v>
      </c>
      <c r="I11" s="277" t="s">
        <v>259</v>
      </c>
      <c r="J11" s="277" t="s">
        <v>260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621</v>
      </c>
      <c r="D13" s="33" t="s">
        <v>623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82</v>
      </c>
      <c r="C15" s="5" t="s">
        <v>433</v>
      </c>
      <c r="D15" s="42" t="s">
        <v>337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432</v>
      </c>
      <c r="D16" s="42" t="s">
        <v>671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83</v>
      </c>
      <c r="C18" s="31" t="s">
        <v>370</v>
      </c>
      <c r="D18" s="49" t="s">
        <v>257</v>
      </c>
      <c r="E18" s="15"/>
      <c r="H18" s="275" t="s">
        <v>257</v>
      </c>
      <c r="I18" s="275" t="s">
        <v>134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492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493</v>
      </c>
      <c r="I20" s="276" t="s">
        <v>494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84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584</v>
      </c>
      <c r="D26" s="42" t="s">
        <v>135</v>
      </c>
      <c r="E26" s="15"/>
      <c r="H26" s="275" t="s">
        <v>133</v>
      </c>
      <c r="I26" s="275" t="s">
        <v>135</v>
      </c>
      <c r="J26" s="273"/>
      <c r="K26" s="273"/>
      <c r="L26" s="274"/>
    </row>
    <row r="27" spans="2:16" ht="15" customHeight="1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497</v>
      </c>
      <c r="C31" s="6" t="s">
        <v>583</v>
      </c>
      <c r="D31" s="42" t="s">
        <v>135</v>
      </c>
      <c r="E31" s="15"/>
      <c r="H31" s="275" t="s">
        <v>133</v>
      </c>
      <c r="I31" s="275" t="s">
        <v>135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555</v>
      </c>
      <c r="C35" s="24" t="s">
        <v>499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556</v>
      </c>
      <c r="C37" s="5" t="s">
        <v>367</v>
      </c>
      <c r="D37" s="34">
        <v>1500000</v>
      </c>
      <c r="E37" s="15" t="s">
        <v>512</v>
      </c>
      <c r="I37" s="273"/>
      <c r="J37" s="273"/>
      <c r="K37" s="273"/>
      <c r="L37" s="273"/>
      <c r="M37" s="274"/>
    </row>
    <row r="38" spans="2:39" customFormat="1" ht="15" customHeight="1">
      <c r="C38" s="8" t="s">
        <v>495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670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SWLS Gas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 t="str">
        <f>INDEX('SLP-Verfahren'!D48:D62,'SLP-Temp-Gebiet #01'!F10)</f>
        <v>Moringen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590</v>
      </c>
      <c r="D13" s="341"/>
      <c r="E13" s="341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451</v>
      </c>
      <c r="D14" s="342"/>
      <c r="E14" s="90" t="s">
        <v>452</v>
      </c>
      <c r="F14" s="267" t="s">
        <v>84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2" t="s">
        <v>389</v>
      </c>
      <c r="D15" s="342"/>
      <c r="E15" s="90" t="s">
        <v>452</v>
      </c>
      <c r="F15" s="267" t="s">
        <v>70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521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508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659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660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254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141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521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Göttingen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ZT310444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532</v>
      </c>
      <c r="D65" s="187" t="s">
        <v>254</v>
      </c>
      <c r="E65" s="288">
        <f>1-SUMPRODUCT(F63:N63,F65:N65)</f>
        <v>1</v>
      </c>
      <c r="F65" s="288">
        <f>ROUND(F66/$D$66,4)</f>
        <v>0.5</v>
      </c>
      <c r="G65" s="288">
        <f t="shared" ref="G65:N65" si="12">ROUND(G66/$D$66,4)</f>
        <v>0.25</v>
      </c>
      <c r="H65" s="288">
        <f t="shared" si="12"/>
        <v>0.125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539</v>
      </c>
      <c r="D66" s="187">
        <f>SUMPRODUCT(E66:N66,E63:N63)</f>
        <v>1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141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141</v>
      </c>
    </row>
    <row r="70" spans="2:15">
      <c r="B70" s="184"/>
      <c r="C70" s="193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141</v>
      </c>
    </row>
    <row r="71" spans="2:15"/>
    <row r="72" spans="2:15" ht="15.75" customHeight="1">
      <c r="C72" s="343" t="s">
        <v>586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SWLS Gas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590</v>
      </c>
      <c r="D13" s="341"/>
      <c r="E13" s="341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451</v>
      </c>
      <c r="D14" s="342"/>
      <c r="E14" s="90" t="s">
        <v>452</v>
      </c>
      <c r="F14" s="267" t="s">
        <v>84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2" t="s">
        <v>389</v>
      </c>
      <c r="D15" s="342"/>
      <c r="E15" s="90" t="s">
        <v>452</v>
      </c>
      <c r="F15" s="267" t="s">
        <v>70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521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141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521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532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43" t="s">
        <v>586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4" zoomScale="80" zoomScaleNormal="80" workbookViewId="0">
      <selection activeCell="H36" sqref="H36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469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Leine-Solling GmbH</v>
      </c>
      <c r="E5" s="131"/>
      <c r="H5" s="89" t="s">
        <v>501</v>
      </c>
      <c r="I5" s="132" t="s">
        <v>504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SWLS Gas Netz</v>
      </c>
      <c r="E6" s="131"/>
      <c r="F6" s="131"/>
      <c r="I6" s="132" t="s">
        <v>514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491</v>
      </c>
      <c r="D7" s="54" t="str">
        <f>Netzbetreiber!$D$11</f>
        <v>9870021700009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42278</v>
      </c>
      <c r="E8" s="131"/>
      <c r="F8" s="131"/>
      <c r="H8" s="129" t="s">
        <v>499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498</v>
      </c>
      <c r="D10" s="135" t="s">
        <v>146</v>
      </c>
      <c r="E10" s="278" t="s">
        <v>516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.75" thickBot="1">
      <c r="B11" s="140" t="s">
        <v>500</v>
      </c>
      <c r="C11" s="141" t="s">
        <v>515</v>
      </c>
      <c r="D11" s="305" t="s">
        <v>247</v>
      </c>
      <c r="E11" s="165" t="s">
        <v>522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SWLS Gas Netz</v>
      </c>
      <c r="D12" s="63" t="s">
        <v>247</v>
      </c>
      <c r="E12" s="166" t="s">
        <v>663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6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SWLS Gas Netz</v>
      </c>
      <c r="D13" s="63" t="s">
        <v>247</v>
      </c>
      <c r="E13" s="166" t="s">
        <v>664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SWLS Gas Netz</v>
      </c>
      <c r="D14" s="63" t="s">
        <v>247</v>
      </c>
      <c r="E14" s="166" t="s">
        <v>672</v>
      </c>
      <c r="F14" s="308" t="str">
        <f>VLOOKUP($E14,'BDEW-Standard'!$B$3:$M$94,F$9,0)</f>
        <v>BA4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SWLS Gas Netz</v>
      </c>
      <c r="D15" s="63" t="s">
        <v>247</v>
      </c>
      <c r="E15" s="166" t="s">
        <v>673</v>
      </c>
      <c r="F15" s="308" t="str">
        <f>VLOOKUP($E15,'BDEW-Standard'!$B$3:$M$94,F$9,0)</f>
        <v>BH4</v>
      </c>
      <c r="H15" s="279">
        <f>ROUND(VLOOKUP($E15,'BDEW-Standard'!$B$3:$M$94,H$9,0),7)</f>
        <v>2.4595180999999999</v>
      </c>
      <c r="I15" s="279">
        <f>ROUND(VLOOKUP($E15,'BDEW-Standard'!$B$3:$M$94,I$9,0),7)</f>
        <v>-35.253212400000002</v>
      </c>
      <c r="J15" s="279">
        <f>ROUND(VLOOKUP($E15,'BDEW-Standard'!$B$3:$M$94,J$9,0),7)</f>
        <v>6.0587001000000003</v>
      </c>
      <c r="K15" s="279">
        <f>ROUND(VLOOKUP($E15,'BDEW-Standard'!$B$3:$M$94,K$9,0),7)</f>
        <v>0.16473699999999999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1.043802057143173</v>
      </c>
      <c r="R15" s="282">
        <f>ROUND(VLOOKUP(MID($E15,4,3),'Wochentag F(WT)'!$B$7:$J$22,R$9,0),4)</f>
        <v>0.97670000000000001</v>
      </c>
      <c r="S15" s="282">
        <f>ROUND(VLOOKUP(MID($E15,4,3),'Wochentag F(WT)'!$B$7:$J$22,S$9,0),4)</f>
        <v>1.0388999999999999</v>
      </c>
      <c r="T15" s="282">
        <f>ROUND(VLOOKUP(MID($E15,4,3),'Wochentag F(WT)'!$B$7:$J$22,T$9,0),4)</f>
        <v>1.0027999999999999</v>
      </c>
      <c r="U15" s="282">
        <f>ROUND(VLOOKUP(MID($E15,4,3),'Wochentag F(WT)'!$B$7:$J$22,U$9,0),4)</f>
        <v>1.0162</v>
      </c>
      <c r="V15" s="282">
        <f>ROUND(VLOOKUP(MID($E15,4,3),'Wochentag F(WT)'!$B$7:$J$22,V$9,0),4)</f>
        <v>1.0024</v>
      </c>
      <c r="W15" s="282">
        <f>ROUND(VLOOKUP(MID($E15,4,3),'Wochentag F(WT)'!$B$7:$J$22,W$9,0),4)</f>
        <v>1.0043</v>
      </c>
      <c r="X15" s="283">
        <f t="shared" si="2"/>
        <v>0.95870000000000122</v>
      </c>
      <c r="Y15" s="304"/>
      <c r="Z15" s="213"/>
    </row>
    <row r="16" spans="2:26" s="144" customFormat="1">
      <c r="B16" s="145">
        <v>5</v>
      </c>
      <c r="C16" s="146" t="str">
        <f t="shared" si="0"/>
        <v>SWLS Gas Netz</v>
      </c>
      <c r="D16" s="63" t="s">
        <v>247</v>
      </c>
      <c r="E16" s="166" t="s">
        <v>674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SWLS Gas Netz</v>
      </c>
      <c r="D17" s="63" t="s">
        <v>247</v>
      </c>
      <c r="E17" s="166" t="s">
        <v>675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SWLS Gas Netz</v>
      </c>
      <c r="D18" s="63" t="s">
        <v>247</v>
      </c>
      <c r="E18" s="166" t="s">
        <v>676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SWLS Gas Netz</v>
      </c>
      <c r="D19" s="63" t="s">
        <v>247</v>
      </c>
      <c r="E19" s="166" t="s">
        <v>677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SWLS Gas Netz</v>
      </c>
      <c r="D20" s="63" t="s">
        <v>247</v>
      </c>
      <c r="E20" s="166" t="s">
        <v>661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>
      <c r="B21" s="145">
        <v>10</v>
      </c>
      <c r="C21" s="146" t="str">
        <f t="shared" si="0"/>
        <v>SWLS Gas Netz</v>
      </c>
      <c r="D21" s="63" t="s">
        <v>247</v>
      </c>
      <c r="E21" s="166" t="s">
        <v>678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SWLS Gas Netz</v>
      </c>
      <c r="D22" s="63" t="s">
        <v>247</v>
      </c>
      <c r="E22" s="166" t="s">
        <v>662</v>
      </c>
      <c r="F22" s="308" t="str">
        <f>VLOOKUP($E22,'BDEW-Standard'!$B$3:$M$94,F$9,0)</f>
        <v>MF4</v>
      </c>
      <c r="H22" s="279">
        <f>ROUND(VLOOKUP($E22,'BDEW-Standard'!$B$3:$M$94,H$9,0),7)</f>
        <v>2.5187775000000001</v>
      </c>
      <c r="I22" s="279">
        <f>ROUND(VLOOKUP($E22,'BDEW-Standard'!$B$3:$M$94,I$9,0),7)</f>
        <v>-35.033375399999997</v>
      </c>
      <c r="J22" s="279">
        <f>ROUND(VLOOKUP($E22,'BDEW-Standard'!$B$3:$M$94,J$9,0),7)</f>
        <v>6.2240634000000004</v>
      </c>
      <c r="K22" s="279">
        <f>ROUND(VLOOKUP($E22,'BDEW-Standard'!$B$3:$M$94,K$9,0),7)</f>
        <v>0.10107820000000001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1.0146273685996503</v>
      </c>
      <c r="R22" s="282">
        <f>ROUND(VLOOKUP(MID($E22,4,3),'Wochentag F(WT)'!$B$7:$J$22,R$9,0),4)</f>
        <v>1.0354000000000001</v>
      </c>
      <c r="S22" s="282">
        <f>ROUND(VLOOKUP(MID($E22,4,3),'Wochentag F(WT)'!$B$7:$J$22,S$9,0),4)</f>
        <v>1.0523</v>
      </c>
      <c r="T22" s="282">
        <f>ROUND(VLOOKUP(MID($E22,4,3),'Wochentag F(WT)'!$B$7:$J$22,T$9,0),4)</f>
        <v>1.0448999999999999</v>
      </c>
      <c r="U22" s="282">
        <f>ROUND(VLOOKUP(MID($E22,4,3),'Wochentag F(WT)'!$B$7:$J$22,U$9,0),4)</f>
        <v>1.0494000000000001</v>
      </c>
      <c r="V22" s="282">
        <f>ROUND(VLOOKUP(MID($E22,4,3),'Wochentag F(WT)'!$B$7:$J$22,V$9,0),4)</f>
        <v>0.98850000000000005</v>
      </c>
      <c r="W22" s="282">
        <f>ROUND(VLOOKUP(MID($E22,4,3),'Wochentag F(WT)'!$B$7:$J$22,W$9,0),4)</f>
        <v>0.88600000000000001</v>
      </c>
      <c r="X22" s="283">
        <f t="shared" si="2"/>
        <v>0.94349999999999934</v>
      </c>
      <c r="Y22" s="304"/>
      <c r="Z22" s="213"/>
    </row>
    <row r="23" spans="2:26" s="144" customFormat="1">
      <c r="B23" s="145">
        <v>12</v>
      </c>
      <c r="C23" s="146" t="str">
        <f t="shared" si="0"/>
        <v>SWLS Gas Netz</v>
      </c>
      <c r="D23" s="63" t="s">
        <v>247</v>
      </c>
      <c r="E23" s="166" t="s">
        <v>679</v>
      </c>
      <c r="F23" s="308" t="str">
        <f>VLOOKUP($E23,'BDEW-Standard'!$B$3:$M$94,F$9,0)</f>
        <v>GB4</v>
      </c>
      <c r="H23" s="279">
        <f>ROUND(VLOOKUP($E23,'BDEW-Standard'!$B$3:$M$94,H$9,0),7)</f>
        <v>3.6017736</v>
      </c>
      <c r="I23" s="279">
        <f>ROUND(VLOOKUP($E23,'BDEW-Standard'!$B$3:$M$94,I$9,0),7)</f>
        <v>-37.882536799999997</v>
      </c>
      <c r="J23" s="279">
        <f>ROUND(VLOOKUP($E23,'BDEW-Standard'!$B$3:$M$94,J$9,0),7)</f>
        <v>6.9836070000000001</v>
      </c>
      <c r="K23" s="279">
        <f>ROUND(VLOOKUP($E23,'BDEW-Standard'!$B$3:$M$94,K$9,0),7)</f>
        <v>5.4826199999999999E-2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SWLS Gas Netz</v>
      </c>
      <c r="D24" s="63" t="s">
        <v>247</v>
      </c>
      <c r="E24" s="166" t="s">
        <v>680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SWLS Gas Netz</v>
      </c>
      <c r="D25" s="63" t="s">
        <v>247</v>
      </c>
      <c r="E25" s="166" t="s">
        <v>681</v>
      </c>
      <c r="F25" s="308" t="str">
        <f>VLOOKUP($E25,'BDEW-Standard'!$B$3:$M$94,F$9,0)</f>
        <v>HD4</v>
      </c>
      <c r="H25" s="279">
        <f>ROUND(VLOOKUP($E25,'BDEW-Standard'!$B$3:$M$94,H$9,0),7)</f>
        <v>3.0084346000000002</v>
      </c>
      <c r="I25" s="279">
        <f>ROUND(VLOOKUP($E25,'BDEW-Standard'!$B$3:$M$94,I$9,0),7)</f>
        <v>-36.607845300000001</v>
      </c>
      <c r="J25" s="279">
        <f>ROUND(VLOOKUP($E25,'BDEW-Standard'!$B$3:$M$94,J$9,0),7)</f>
        <v>7.3211870000000001</v>
      </c>
      <c r="K25" s="279">
        <f>ROUND(VLOOKUP($E25,'BDEW-Standard'!$B$3:$M$94,K$9,0),7)</f>
        <v>0.15496599999999999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0.97302438504000599</v>
      </c>
      <c r="R25" s="282">
        <f>ROUND(VLOOKUP(MID($E25,4,3),'Wochentag F(WT)'!$B$7:$J$22,R$9,0),4)</f>
        <v>1.03</v>
      </c>
      <c r="S25" s="282">
        <f>ROUND(VLOOKUP(MID($E25,4,3),'Wochentag F(WT)'!$B$7:$J$22,S$9,0),4)</f>
        <v>1.03</v>
      </c>
      <c r="T25" s="282">
        <f>ROUND(VLOOKUP(MID($E25,4,3),'Wochentag F(WT)'!$B$7:$J$22,T$9,0),4)</f>
        <v>1.02</v>
      </c>
      <c r="U25" s="282">
        <f>ROUND(VLOOKUP(MID($E25,4,3),'Wochentag F(WT)'!$B$7:$J$22,U$9,0),4)</f>
        <v>1.03</v>
      </c>
      <c r="V25" s="282">
        <f>ROUND(VLOOKUP(MID($E25,4,3),'Wochentag F(WT)'!$B$7:$J$22,V$9,0),4)</f>
        <v>1.01</v>
      </c>
      <c r="W25" s="282">
        <f>ROUND(VLOOKUP(MID($E25,4,3),'Wochentag F(WT)'!$B$7:$J$22,W$9,0),4)</f>
        <v>0.93</v>
      </c>
      <c r="X25" s="283">
        <f t="shared" si="2"/>
        <v>0.95000000000000018</v>
      </c>
      <c r="Y25" s="304"/>
      <c r="Z25" s="213"/>
    </row>
    <row r="26" spans="2:26" s="144" customFormat="1">
      <c r="B26" s="145">
        <v>15</v>
      </c>
      <c r="C26" s="146" t="str">
        <f t="shared" si="0"/>
        <v>SWLS Gas Netz</v>
      </c>
      <c r="D26" s="63" t="s">
        <v>247</v>
      </c>
      <c r="E26" s="166" t="s">
        <v>664</v>
      </c>
      <c r="F26" s="308" t="str">
        <f>VLOOKUP($E26,'BDEW-Standard'!$B$3:$M$94,F$9,0)</f>
        <v>D24</v>
      </c>
      <c r="H26" s="279">
        <f>ROUND(VLOOKUP($E26,'BDEW-Standard'!$B$3:$M$94,H$9,0),7)</f>
        <v>2.5187775000000001</v>
      </c>
      <c r="I26" s="279">
        <f>ROUND(VLOOKUP($E26,'BDEW-Standard'!$B$3:$M$94,I$9,0),7)</f>
        <v>-35.033375399999997</v>
      </c>
      <c r="J26" s="279">
        <f>ROUND(VLOOKUP($E26,'BDEW-Standard'!$B$3:$M$94,J$9,0),7)</f>
        <v>6.2240634000000004</v>
      </c>
      <c r="K26" s="279">
        <f>ROUND(VLOOKUP($E26,'BDEW-Standard'!$B$3:$M$94,K$9,0),7)</f>
        <v>0.10107820000000001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1.0146273685996503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SWLS Gas Netz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SWLS Gas Netz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SWLS Gas Netz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SWLS Gas Netz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SWLS Gas Netz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SWLS Gas Netz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SWLS Gas Netz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SWLS Gas Netz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SWLS Gas Netz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SWLS Gas Netz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SWLS Gas Netz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SWLS Gas Netz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SWLS Gas Netz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SWLS Gas Netz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SWLS Gas Netz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457</v>
      </c>
      <c r="F1" s="218" t="s">
        <v>551</v>
      </c>
      <c r="N1" s="219"/>
    </row>
    <row r="2" spans="1:14" ht="25.5">
      <c r="A2" s="220" t="s">
        <v>271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317</v>
      </c>
      <c r="D95" s="236" t="s">
        <v>272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322</v>
      </c>
      <c r="D96" s="236" t="s">
        <v>272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327</v>
      </c>
      <c r="D97" s="236" t="s">
        <v>272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332</v>
      </c>
      <c r="D98" s="236" t="s">
        <v>272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285</v>
      </c>
      <c r="D99" s="236" t="s">
        <v>272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289</v>
      </c>
      <c r="D100" s="236" t="s">
        <v>272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293</v>
      </c>
      <c r="D101" s="236" t="s">
        <v>272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297</v>
      </c>
      <c r="D102" s="236" t="s">
        <v>272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301</v>
      </c>
      <c r="D103" s="236" t="s">
        <v>272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305</v>
      </c>
      <c r="D104" s="236" t="s">
        <v>272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309</v>
      </c>
      <c r="D105" s="236" t="s">
        <v>272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313</v>
      </c>
      <c r="D106" s="236" t="s">
        <v>272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318</v>
      </c>
      <c r="D107" s="236" t="s">
        <v>272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323</v>
      </c>
      <c r="D108" s="236" t="s">
        <v>272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328</v>
      </c>
      <c r="D109" s="236" t="s">
        <v>272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333</v>
      </c>
      <c r="D110" s="236" t="s">
        <v>272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273</v>
      </c>
      <c r="D111" s="236" t="s">
        <v>272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274</v>
      </c>
      <c r="D112" s="236" t="s">
        <v>272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275</v>
      </c>
      <c r="D113" s="236" t="s">
        <v>272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276</v>
      </c>
      <c r="D114" s="236" t="s">
        <v>272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286</v>
      </c>
      <c r="D115" s="236" t="s">
        <v>272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290</v>
      </c>
      <c r="D116" s="236" t="s">
        <v>272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294</v>
      </c>
      <c r="D117" s="236" t="s">
        <v>272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298</v>
      </c>
      <c r="D118" s="236" t="s">
        <v>272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277</v>
      </c>
      <c r="D119" s="236" t="s">
        <v>272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279</v>
      </c>
      <c r="D120" s="236" t="s">
        <v>272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281</v>
      </c>
      <c r="D121" s="236" t="s">
        <v>272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283</v>
      </c>
      <c r="D122" s="236" t="s">
        <v>272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319</v>
      </c>
      <c r="D123" s="236" t="s">
        <v>272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324</v>
      </c>
      <c r="D124" s="236" t="s">
        <v>272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329</v>
      </c>
      <c r="D125" s="236" t="s">
        <v>272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334</v>
      </c>
      <c r="D126" s="236" t="s">
        <v>272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287</v>
      </c>
      <c r="D127" s="236" t="s">
        <v>272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291</v>
      </c>
      <c r="D128" s="236" t="s">
        <v>272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295</v>
      </c>
      <c r="D129" s="236" t="s">
        <v>272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299</v>
      </c>
      <c r="D130" s="236" t="s">
        <v>272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288</v>
      </c>
      <c r="D131" s="236" t="s">
        <v>272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292</v>
      </c>
      <c r="D132" s="236" t="s">
        <v>272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296</v>
      </c>
      <c r="D133" s="236" t="s">
        <v>272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300</v>
      </c>
      <c r="D134" s="236" t="s">
        <v>272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302</v>
      </c>
      <c r="D135" s="236" t="s">
        <v>272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306</v>
      </c>
      <c r="D136" s="236" t="s">
        <v>272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310</v>
      </c>
      <c r="D137" s="236" t="s">
        <v>272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314</v>
      </c>
      <c r="D138" s="236" t="s">
        <v>272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303</v>
      </c>
      <c r="D139" s="236" t="s">
        <v>272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307</v>
      </c>
      <c r="D140" s="236" t="s">
        <v>272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311</v>
      </c>
      <c r="D141" s="236" t="s">
        <v>272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315</v>
      </c>
      <c r="D142" s="236" t="s">
        <v>272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278</v>
      </c>
      <c r="D143" s="236" t="s">
        <v>272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280</v>
      </c>
      <c r="D144" s="236" t="s">
        <v>272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282</v>
      </c>
      <c r="D145" s="236" t="s">
        <v>272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284</v>
      </c>
      <c r="D146" s="236" t="s">
        <v>272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304</v>
      </c>
      <c r="D147" s="236" t="s">
        <v>272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308</v>
      </c>
      <c r="D148" s="236" t="s">
        <v>272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312</v>
      </c>
      <c r="D149" s="236" t="s">
        <v>272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316</v>
      </c>
      <c r="D150" s="236" t="s">
        <v>272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320</v>
      </c>
      <c r="D151" s="236" t="s">
        <v>272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325</v>
      </c>
      <c r="D152" s="236" t="s">
        <v>272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330</v>
      </c>
      <c r="D153" s="236" t="s">
        <v>272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335</v>
      </c>
      <c r="D154" s="236" t="s">
        <v>272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321</v>
      </c>
      <c r="D155" s="236" t="s">
        <v>272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326</v>
      </c>
      <c r="D156" s="236" t="s">
        <v>272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331</v>
      </c>
      <c r="D157" s="236" t="s">
        <v>272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336</v>
      </c>
      <c r="D158" s="236" t="s">
        <v>272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2" sqref="I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449</v>
      </c>
    </row>
    <row r="3" spans="2:30" ht="15" customHeight="1">
      <c r="B3" s="85"/>
    </row>
    <row r="4" spans="2:30" ht="15" customHeight="1">
      <c r="B4" s="86" t="s">
        <v>448</v>
      </c>
      <c r="C4" s="64" t="str">
        <f>Netzbetreiber!$D$9</f>
        <v>Stadtwerke Leine-Solling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447</v>
      </c>
      <c r="C5" s="65" t="str">
        <f>Netzbetreiber!D28</f>
        <v>SWLS Gas Netz</v>
      </c>
      <c r="D5" s="37"/>
      <c r="E5" s="77"/>
      <c r="F5" s="77"/>
      <c r="G5" s="77"/>
      <c r="I5" s="77"/>
      <c r="J5" s="77"/>
      <c r="K5" s="77"/>
      <c r="L5" s="77"/>
      <c r="M5" s="89" t="s">
        <v>513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445</v>
      </c>
      <c r="C6" s="64" t="str">
        <f>Netzbetreiber!$D$11</f>
        <v>9870021700009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470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9" t="s">
        <v>589</v>
      </c>
      <c r="C10" s="350"/>
      <c r="D10" s="95">
        <v>2</v>
      </c>
      <c r="E10" s="96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7" t="s">
        <v>471</v>
      </c>
      <c r="N10" s="98" t="s">
        <v>472</v>
      </c>
      <c r="O10" s="99" t="s">
        <v>473</v>
      </c>
      <c r="P10" s="100" t="s">
        <v>474</v>
      </c>
      <c r="Q10" s="100" t="s">
        <v>475</v>
      </c>
      <c r="R10" s="100" t="s">
        <v>476</v>
      </c>
      <c r="S10" s="100" t="s">
        <v>477</v>
      </c>
      <c r="T10" s="100" t="s">
        <v>478</v>
      </c>
      <c r="U10" s="100" t="s">
        <v>479</v>
      </c>
      <c r="V10" s="100" t="s">
        <v>480</v>
      </c>
      <c r="W10" s="100" t="s">
        <v>481</v>
      </c>
      <c r="X10" s="100" t="s">
        <v>482</v>
      </c>
      <c r="Y10" s="100" t="s">
        <v>483</v>
      </c>
      <c r="Z10" s="100" t="s">
        <v>484</v>
      </c>
      <c r="AA10" s="100" t="s">
        <v>485</v>
      </c>
      <c r="AB10" s="100" t="s">
        <v>486</v>
      </c>
      <c r="AC10" s="101" t="s">
        <v>487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6">
        <f t="shared" si="0"/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655</v>
      </c>
      <c r="C20" s="118"/>
      <c r="D20" s="112">
        <v>12</v>
      </c>
      <c r="E20" s="316">
        <f t="shared" si="0"/>
        <v>1</v>
      </c>
      <c r="F20" s="313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6">
        <f t="shared" si="0"/>
        <v>1</v>
      </c>
      <c r="F22" s="313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6">
        <f t="shared" si="0"/>
        <v>0</v>
      </c>
      <c r="F23" s="313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6">
        <f t="shared" si="0"/>
        <v>0</v>
      </c>
      <c r="F24" s="313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6">
        <f t="shared" si="0"/>
        <v>0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6">
        <f t="shared" si="0"/>
        <v>1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6">
        <f t="shared" si="0"/>
        <v>0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6">
        <f t="shared" si="0"/>
        <v>0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6">
        <f t="shared" si="0"/>
        <v>0</v>
      </c>
      <c r="F29" s="313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6">
        <f t="shared" si="0"/>
        <v>0</v>
      </c>
      <c r="F30" s="313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6">
        <f t="shared" si="0"/>
        <v>1</v>
      </c>
      <c r="F31" s="313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6">
        <f t="shared" si="0"/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7">
        <f t="shared" si="0"/>
        <v>0</v>
      </c>
      <c r="F33" s="314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458</v>
      </c>
      <c r="B1" s="129"/>
      <c r="D1" s="218" t="s">
        <v>551</v>
      </c>
    </row>
    <row r="2" spans="1:16">
      <c r="A2" s="238"/>
      <c r="B2" s="237" t="s">
        <v>459</v>
      </c>
    </row>
    <row r="3" spans="1:16" ht="20.100000000000001" customHeight="1">
      <c r="A3" s="351" t="s">
        <v>248</v>
      </c>
      <c r="B3" s="239" t="s">
        <v>85</v>
      </c>
      <c r="C3" s="240"/>
      <c r="D3" s="353" t="s">
        <v>460</v>
      </c>
      <c r="E3" s="354"/>
      <c r="F3" s="354"/>
      <c r="G3" s="354"/>
      <c r="H3" s="354"/>
      <c r="I3" s="354"/>
      <c r="J3" s="355"/>
      <c r="K3" s="241"/>
      <c r="L3" s="241"/>
      <c r="M3" s="241"/>
      <c r="N3" s="241"/>
      <c r="O3" s="242"/>
      <c r="P3" s="241"/>
    </row>
    <row r="4" spans="1:16" ht="20.100000000000001" customHeight="1">
      <c r="A4" s="352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Moenckemeyer, Christian</cp:lastModifiedBy>
  <cp:lastPrinted>2015-03-20T22:59:10Z</cp:lastPrinted>
  <dcterms:created xsi:type="dcterms:W3CDTF">2015-01-15T05:25:41Z</dcterms:created>
  <dcterms:modified xsi:type="dcterms:W3CDTF">2016-07-04T13:22:17Z</dcterms:modified>
</cp:coreProperties>
</file>